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765" windowWidth="15480" windowHeight="11640" activeTab="2"/>
  </bookViews>
  <sheets>
    <sheet name="CASE1601" sheetId="1" r:id="rId1"/>
    <sheet name="zadanie 1" sheetId="2" r:id="rId2"/>
    <sheet name="zadanie 2" sheetId="3" r:id="rId3"/>
    <sheet name="zadanie 3" sheetId="4" r:id="rId4"/>
  </sheets>
  <definedNames/>
  <calcPr fullCalcOnLoad="1"/>
</workbook>
</file>

<file path=xl/sharedStrings.xml><?xml version="1.0" encoding="utf-8"?>
<sst xmlns="http://schemas.openxmlformats.org/spreadsheetml/2006/main" count="139" uniqueCount="64">
  <si>
    <t>MONKEY</t>
  </si>
  <si>
    <t>WEEK2</t>
  </si>
  <si>
    <t>WEEK4</t>
  </si>
  <si>
    <t>WEEK8</t>
  </si>
  <si>
    <t>WEEK12</t>
  </si>
  <si>
    <t>WEEK16</t>
  </si>
  <si>
    <t>Spank</t>
  </si>
  <si>
    <t>Chim</t>
  </si>
  <si>
    <t>Chak</t>
  </si>
  <si>
    <t>Alf</t>
  </si>
  <si>
    <t>Poet</t>
  </si>
  <si>
    <t>Jessie</t>
  </si>
  <si>
    <t>Phil</t>
  </si>
  <si>
    <t>Irv</t>
  </si>
  <si>
    <t>Edy</t>
  </si>
  <si>
    <t>Allen</t>
  </si>
  <si>
    <t>Poe</t>
  </si>
  <si>
    <t>Joey</t>
  </si>
  <si>
    <t>Just</t>
  </si>
  <si>
    <t>Junior</t>
  </si>
  <si>
    <t>Andy</t>
  </si>
  <si>
    <t>Sport</t>
  </si>
  <si>
    <t>Cornelius</t>
  </si>
  <si>
    <t>Duncan</t>
  </si>
  <si>
    <t>CONTROL</t>
  </si>
  <si>
    <t>TREATED</t>
  </si>
  <si>
    <t>TREATMENT</t>
  </si>
  <si>
    <t>SHORT</t>
  </si>
  <si>
    <t>LONG</t>
  </si>
  <si>
    <t>bez chaka</t>
  </si>
  <si>
    <t>średnia 1</t>
  </si>
  <si>
    <t>średnia 2</t>
  </si>
  <si>
    <t>os1</t>
  </si>
  <si>
    <t>os 2</t>
  </si>
  <si>
    <t>covar</t>
  </si>
  <si>
    <t>var wsp</t>
  </si>
  <si>
    <t>covar wsp</t>
  </si>
  <si>
    <t xml:space="preserve"> r wsp</t>
  </si>
  <si>
    <t>t</t>
  </si>
  <si>
    <t>se</t>
  </si>
  <si>
    <t>T2</t>
  </si>
  <si>
    <t>F</t>
  </si>
  <si>
    <t>p</t>
  </si>
  <si>
    <t>mnożnik</t>
  </si>
  <si>
    <t>pu-</t>
  </si>
  <si>
    <t>pu+</t>
  </si>
  <si>
    <t>bez Edy</t>
  </si>
  <si>
    <t>chak</t>
  </si>
  <si>
    <t>edy</t>
  </si>
  <si>
    <t>bez obu</t>
  </si>
  <si>
    <t>lotka 1</t>
  </si>
  <si>
    <t>lotka 3</t>
  </si>
  <si>
    <t>covar h</t>
  </si>
  <si>
    <t>covar o</t>
  </si>
  <si>
    <t>r</t>
  </si>
  <si>
    <t>mnoznik</t>
  </si>
  <si>
    <t>Efekt</t>
  </si>
  <si>
    <r>
      <t>d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=A-C</t>
    </r>
  </si>
  <si>
    <r>
      <t>d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=B-C</t>
    </r>
  </si>
  <si>
    <t>Średnia</t>
  </si>
  <si>
    <t>s</t>
  </si>
  <si>
    <t>korelacja</t>
  </si>
  <si>
    <t>test t</t>
  </si>
  <si>
    <t>t^2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</si>
</sst>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J2" sqref="J2"/>
    </sheetView>
  </sheetViews>
  <sheetFormatPr defaultColWidth="9.140625" defaultRowHeight="12.75"/>
  <cols>
    <col min="1" max="1" width="8.8515625" style="0" bestFit="1" customWidth="1"/>
    <col min="2" max="7" width="11.00390625" style="0" customWidth="1"/>
  </cols>
  <sheetData>
    <row r="1" spans="1:9" s="3" customFormat="1" ht="12.75">
      <c r="A1" s="2" t="s">
        <v>0</v>
      </c>
      <c r="B1" s="2" t="s">
        <v>26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27</v>
      </c>
      <c r="I1" s="3" t="s">
        <v>28</v>
      </c>
    </row>
    <row r="2" spans="1:9" ht="12.75">
      <c r="A2" t="s">
        <v>6</v>
      </c>
      <c r="B2" s="1" t="s">
        <v>24</v>
      </c>
      <c r="C2" s="1">
        <v>95</v>
      </c>
      <c r="D2" s="1">
        <v>75</v>
      </c>
      <c r="E2" s="1">
        <v>80</v>
      </c>
      <c r="F2" s="1">
        <v>65</v>
      </c>
      <c r="G2" s="1">
        <v>70</v>
      </c>
      <c r="H2" s="4">
        <f>AVERAGE(C2:D2)</f>
        <v>85</v>
      </c>
      <c r="I2" s="4">
        <f>AVERAGE(E2:G2)</f>
        <v>71.66666666666667</v>
      </c>
    </row>
    <row r="3" spans="1:9" ht="12.75">
      <c r="A3" t="s">
        <v>7</v>
      </c>
      <c r="B3" s="1" t="s">
        <v>24</v>
      </c>
      <c r="C3" s="1">
        <v>85</v>
      </c>
      <c r="D3" s="1">
        <v>75</v>
      </c>
      <c r="E3" s="1">
        <v>55</v>
      </c>
      <c r="F3" s="1">
        <v>75</v>
      </c>
      <c r="G3" s="1">
        <v>85</v>
      </c>
      <c r="H3" s="4">
        <f aca="true" t="shared" si="0" ref="H3:H19">AVERAGE(C3:D3)</f>
        <v>80</v>
      </c>
      <c r="I3" s="4">
        <f aca="true" t="shared" si="1" ref="I3:I19">AVERAGE(E3:G3)</f>
        <v>71.66666666666667</v>
      </c>
    </row>
    <row r="4" spans="1:9" ht="12.75">
      <c r="A4" t="s">
        <v>8</v>
      </c>
      <c r="B4" s="1" t="s">
        <v>24</v>
      </c>
      <c r="C4" s="1">
        <v>75</v>
      </c>
      <c r="D4" s="1">
        <v>95</v>
      </c>
      <c r="E4" s="1">
        <v>60</v>
      </c>
      <c r="F4" s="1">
        <v>40</v>
      </c>
      <c r="G4" s="1">
        <v>45</v>
      </c>
      <c r="H4" s="4">
        <f t="shared" si="0"/>
        <v>85</v>
      </c>
      <c r="I4" s="4">
        <f t="shared" si="1"/>
        <v>48.333333333333336</v>
      </c>
    </row>
    <row r="5" spans="1:9" ht="12.75">
      <c r="A5" t="s">
        <v>9</v>
      </c>
      <c r="B5" s="1" t="s">
        <v>24</v>
      </c>
      <c r="C5" s="1">
        <v>85</v>
      </c>
      <c r="D5" s="1">
        <v>80</v>
      </c>
      <c r="E5" s="1">
        <v>70</v>
      </c>
      <c r="F5" s="1">
        <v>45</v>
      </c>
      <c r="G5" s="1">
        <v>80</v>
      </c>
      <c r="H5" s="4">
        <f t="shared" si="0"/>
        <v>82.5</v>
      </c>
      <c r="I5" s="4">
        <f t="shared" si="1"/>
        <v>65</v>
      </c>
    </row>
    <row r="6" spans="1:9" ht="12.75">
      <c r="A6" t="s">
        <v>10</v>
      </c>
      <c r="B6" s="1" t="s">
        <v>24</v>
      </c>
      <c r="C6" s="1">
        <v>65</v>
      </c>
      <c r="D6" s="1">
        <v>80</v>
      </c>
      <c r="E6" s="1">
        <v>75</v>
      </c>
      <c r="F6" s="1">
        <v>65</v>
      </c>
      <c r="G6" s="1">
        <v>65</v>
      </c>
      <c r="H6" s="4">
        <f t="shared" si="0"/>
        <v>72.5</v>
      </c>
      <c r="I6" s="4">
        <f t="shared" si="1"/>
        <v>68.33333333333333</v>
      </c>
    </row>
    <row r="7" spans="1:9" ht="12.75">
      <c r="A7" t="s">
        <v>11</v>
      </c>
      <c r="B7" s="1" t="s">
        <v>24</v>
      </c>
      <c r="C7" s="1">
        <v>70</v>
      </c>
      <c r="D7" s="1">
        <v>90</v>
      </c>
      <c r="E7" s="1">
        <v>85</v>
      </c>
      <c r="F7" s="1">
        <v>75</v>
      </c>
      <c r="G7" s="1">
        <v>75</v>
      </c>
      <c r="H7" s="4">
        <f t="shared" si="0"/>
        <v>80</v>
      </c>
      <c r="I7" s="4">
        <f t="shared" si="1"/>
        <v>78.33333333333333</v>
      </c>
    </row>
    <row r="8" spans="1:9" ht="12.75">
      <c r="A8" t="s">
        <v>12</v>
      </c>
      <c r="B8" s="1" t="s">
        <v>24</v>
      </c>
      <c r="C8" s="1">
        <v>75</v>
      </c>
      <c r="D8" s="1">
        <v>80</v>
      </c>
      <c r="E8" s="1">
        <v>70</v>
      </c>
      <c r="F8" s="1">
        <v>70</v>
      </c>
      <c r="G8" s="1">
        <v>70</v>
      </c>
      <c r="H8" s="4">
        <f t="shared" si="0"/>
        <v>77.5</v>
      </c>
      <c r="I8" s="4">
        <f t="shared" si="1"/>
        <v>70</v>
      </c>
    </row>
    <row r="9" spans="1:9" ht="12.75">
      <c r="A9" t="s">
        <v>13</v>
      </c>
      <c r="B9" s="1" t="s">
        <v>25</v>
      </c>
      <c r="C9" s="1">
        <v>75</v>
      </c>
      <c r="D9" s="1">
        <v>50</v>
      </c>
      <c r="E9" s="1">
        <v>70</v>
      </c>
      <c r="F9" s="1">
        <v>75</v>
      </c>
      <c r="G9" s="1">
        <v>75</v>
      </c>
      <c r="H9" s="4">
        <f t="shared" si="0"/>
        <v>62.5</v>
      </c>
      <c r="I9" s="4">
        <f t="shared" si="1"/>
        <v>73.33333333333333</v>
      </c>
    </row>
    <row r="10" spans="1:9" ht="12.75">
      <c r="A10" t="s">
        <v>14</v>
      </c>
      <c r="B10" s="1" t="s">
        <v>25</v>
      </c>
      <c r="C10" s="1">
        <v>85</v>
      </c>
      <c r="D10" s="1">
        <v>85</v>
      </c>
      <c r="E10" s="1">
        <v>60</v>
      </c>
      <c r="F10" s="1">
        <v>70</v>
      </c>
      <c r="G10" s="1">
        <v>70</v>
      </c>
      <c r="H10" s="4">
        <f t="shared" si="0"/>
        <v>85</v>
      </c>
      <c r="I10" s="4">
        <f t="shared" si="1"/>
        <v>66.66666666666667</v>
      </c>
    </row>
    <row r="11" spans="1:9" ht="12.75">
      <c r="A11" t="s">
        <v>15</v>
      </c>
      <c r="B11" s="1" t="s">
        <v>25</v>
      </c>
      <c r="C11" s="1">
        <v>60</v>
      </c>
      <c r="D11" s="1">
        <v>70</v>
      </c>
      <c r="E11" s="1">
        <v>70</v>
      </c>
      <c r="F11" s="1">
        <v>75</v>
      </c>
      <c r="G11" s="1">
        <v>70</v>
      </c>
      <c r="H11" s="4">
        <f t="shared" si="0"/>
        <v>65</v>
      </c>
      <c r="I11" s="4">
        <f t="shared" si="1"/>
        <v>71.66666666666667</v>
      </c>
    </row>
    <row r="12" spans="1:9" ht="12.75">
      <c r="A12" t="s">
        <v>16</v>
      </c>
      <c r="B12" s="1" t="s">
        <v>25</v>
      </c>
      <c r="C12" s="1">
        <v>60</v>
      </c>
      <c r="D12" s="1">
        <v>65</v>
      </c>
      <c r="E12" s="1">
        <v>70</v>
      </c>
      <c r="F12" s="1">
        <v>70</v>
      </c>
      <c r="G12" s="1">
        <v>60</v>
      </c>
      <c r="H12" s="4">
        <f t="shared" si="0"/>
        <v>62.5</v>
      </c>
      <c r="I12" s="4">
        <f t="shared" si="1"/>
        <v>66.66666666666667</v>
      </c>
    </row>
    <row r="13" spans="1:9" ht="12.75">
      <c r="A13" t="s">
        <v>17</v>
      </c>
      <c r="B13" s="1" t="s">
        <v>25</v>
      </c>
      <c r="C13" s="1">
        <v>65</v>
      </c>
      <c r="D13" s="1">
        <v>60</v>
      </c>
      <c r="E13" s="1">
        <v>80</v>
      </c>
      <c r="F13" s="1">
        <v>70</v>
      </c>
      <c r="G13" s="1">
        <v>60</v>
      </c>
      <c r="H13" s="4">
        <f t="shared" si="0"/>
        <v>62.5</v>
      </c>
      <c r="I13" s="4">
        <f t="shared" si="1"/>
        <v>70</v>
      </c>
    </row>
    <row r="14" spans="1:9" ht="12.75">
      <c r="A14" t="s">
        <v>18</v>
      </c>
      <c r="B14" s="1" t="s">
        <v>25</v>
      </c>
      <c r="C14" s="1">
        <v>55</v>
      </c>
      <c r="D14" s="1">
        <v>70</v>
      </c>
      <c r="E14" s="1">
        <v>60</v>
      </c>
      <c r="F14" s="1">
        <v>65</v>
      </c>
      <c r="G14" s="1">
        <v>75</v>
      </c>
      <c r="H14" s="4">
        <f t="shared" si="0"/>
        <v>62.5</v>
      </c>
      <c r="I14" s="4">
        <f t="shared" si="1"/>
        <v>66.66666666666667</v>
      </c>
    </row>
    <row r="15" spans="1:9" ht="12.75">
      <c r="A15" t="s">
        <v>19</v>
      </c>
      <c r="B15" s="1" t="s">
        <v>25</v>
      </c>
      <c r="C15" s="1">
        <v>60</v>
      </c>
      <c r="D15" s="1">
        <v>55</v>
      </c>
      <c r="E15" s="1">
        <v>75</v>
      </c>
      <c r="F15" s="1">
        <v>70</v>
      </c>
      <c r="G15" s="1">
        <v>50</v>
      </c>
      <c r="H15" s="4">
        <f t="shared" si="0"/>
        <v>57.5</v>
      </c>
      <c r="I15" s="4">
        <f t="shared" si="1"/>
        <v>65</v>
      </c>
    </row>
    <row r="16" spans="1:9" ht="12.75">
      <c r="A16" t="s">
        <v>20</v>
      </c>
      <c r="B16" s="1" t="s">
        <v>25</v>
      </c>
      <c r="C16" s="1">
        <v>55</v>
      </c>
      <c r="D16" s="1">
        <v>65</v>
      </c>
      <c r="E16" s="1">
        <v>45</v>
      </c>
      <c r="F16" s="1">
        <v>70</v>
      </c>
      <c r="G16" s="1">
        <v>65</v>
      </c>
      <c r="H16" s="4">
        <f t="shared" si="0"/>
        <v>60</v>
      </c>
      <c r="I16" s="4">
        <f t="shared" si="1"/>
        <v>60</v>
      </c>
    </row>
    <row r="17" spans="1:9" ht="12.75">
      <c r="A17" t="s">
        <v>21</v>
      </c>
      <c r="B17" s="1" t="s">
        <v>25</v>
      </c>
      <c r="C17" s="1">
        <v>60</v>
      </c>
      <c r="D17" s="1">
        <v>70</v>
      </c>
      <c r="E17" s="1">
        <v>70</v>
      </c>
      <c r="F17" s="1">
        <v>85</v>
      </c>
      <c r="G17" s="1">
        <v>70</v>
      </c>
      <c r="H17" s="4">
        <f t="shared" si="0"/>
        <v>65</v>
      </c>
      <c r="I17" s="4">
        <f t="shared" si="1"/>
        <v>75</v>
      </c>
    </row>
    <row r="18" spans="1:9" ht="12.75">
      <c r="A18" t="s">
        <v>22</v>
      </c>
      <c r="B18" s="1" t="s">
        <v>25</v>
      </c>
      <c r="C18" s="1">
        <v>45</v>
      </c>
      <c r="D18" s="1">
        <v>60</v>
      </c>
      <c r="E18" s="1">
        <v>65</v>
      </c>
      <c r="F18" s="1">
        <v>65</v>
      </c>
      <c r="G18" s="1">
        <v>70</v>
      </c>
      <c r="H18" s="4">
        <f t="shared" si="0"/>
        <v>52.5</v>
      </c>
      <c r="I18" s="4">
        <f t="shared" si="1"/>
        <v>66.66666666666667</v>
      </c>
    </row>
    <row r="19" spans="1:9" ht="12.75">
      <c r="A19" t="s">
        <v>23</v>
      </c>
      <c r="B19" s="1" t="s">
        <v>25</v>
      </c>
      <c r="C19" s="1">
        <v>65</v>
      </c>
      <c r="D19" s="1">
        <v>55</v>
      </c>
      <c r="E19" s="1">
        <v>55</v>
      </c>
      <c r="F19" s="1">
        <v>80</v>
      </c>
      <c r="G19" s="1">
        <v>75</v>
      </c>
      <c r="H19" s="4">
        <f t="shared" si="0"/>
        <v>60</v>
      </c>
      <c r="I19" s="4">
        <f t="shared" si="1"/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4"/>
    </sheetView>
  </sheetViews>
  <sheetFormatPr defaultColWidth="9.140625" defaultRowHeight="12.75"/>
  <cols>
    <col min="1" max="1" width="8.8515625" style="0" bestFit="1" customWidth="1"/>
    <col min="2" max="2" width="11.00390625" style="0" customWidth="1"/>
  </cols>
  <sheetData>
    <row r="1" spans="1:10" s="3" customFormat="1" ht="12.75">
      <c r="A1" s="10" t="s">
        <v>0</v>
      </c>
      <c r="B1" s="10" t="s">
        <v>26</v>
      </c>
      <c r="C1" s="11" t="s">
        <v>27</v>
      </c>
      <c r="D1" s="11" t="s">
        <v>28</v>
      </c>
      <c r="E1" s="11" t="s">
        <v>47</v>
      </c>
      <c r="F1" s="11" t="s">
        <v>48</v>
      </c>
      <c r="G1" s="11"/>
      <c r="H1" s="11"/>
      <c r="I1" s="11"/>
      <c r="J1" s="11"/>
    </row>
    <row r="2" spans="1:10" ht="12.75">
      <c r="A2" s="5" t="s">
        <v>6</v>
      </c>
      <c r="B2" s="6" t="s">
        <v>24</v>
      </c>
      <c r="C2" s="7">
        <v>85</v>
      </c>
      <c r="D2" s="7">
        <v>71.66666666666667</v>
      </c>
      <c r="E2" s="7">
        <f>(C2-$C$20)*(D2-$D$20)</f>
        <v>4.513888888888944</v>
      </c>
      <c r="F2" s="7">
        <f>(C2-$F$20)*(D2-$G$20)</f>
        <v>18.792517006802722</v>
      </c>
      <c r="G2" s="7">
        <f>(C2-$I$20)*(D2-$J$20)</f>
        <v>4.513888888888944</v>
      </c>
      <c r="H2" s="5"/>
      <c r="I2" s="5"/>
      <c r="J2" s="5"/>
    </row>
    <row r="3" spans="1:10" ht="12.75">
      <c r="A3" s="5" t="s">
        <v>7</v>
      </c>
      <c r="B3" s="6" t="s">
        <v>24</v>
      </c>
      <c r="C3" s="7">
        <v>80</v>
      </c>
      <c r="D3" s="7">
        <v>71.66666666666667</v>
      </c>
      <c r="E3" s="7">
        <f aca="true" t="shared" si="0" ref="E3:E8">(C3-$C$20)*(D3-$D$20)</f>
        <v>0.3472222222222301</v>
      </c>
      <c r="F3" s="7">
        <f aca="true" t="shared" si="1" ref="F3:F8">(C3-$F$20)*(D3-$G$20)</f>
        <v>-1.4455782312925347</v>
      </c>
      <c r="G3" s="7">
        <f aca="true" t="shared" si="2" ref="G3:G8">(C3-$I$20)*(D3-$J$20)</f>
        <v>0.3472222222222301</v>
      </c>
      <c r="H3" s="5"/>
      <c r="I3" s="5"/>
      <c r="J3" s="5"/>
    </row>
    <row r="4" spans="1:10" ht="12.75">
      <c r="A4" s="5" t="s">
        <v>8</v>
      </c>
      <c r="B4" s="6" t="s">
        <v>24</v>
      </c>
      <c r="C4" s="7">
        <v>85</v>
      </c>
      <c r="D4" s="7">
        <v>48.333333333333336</v>
      </c>
      <c r="E4" s="7"/>
      <c r="F4" s="7">
        <f t="shared" si="1"/>
        <v>-89.54081632653053</v>
      </c>
      <c r="G4" s="7"/>
      <c r="H4" s="5"/>
      <c r="I4" s="5"/>
      <c r="J4" s="5"/>
    </row>
    <row r="5" spans="1:10" ht="12.75">
      <c r="A5" s="5" t="s">
        <v>9</v>
      </c>
      <c r="B5" s="6" t="s">
        <v>24</v>
      </c>
      <c r="C5" s="7">
        <v>82.5</v>
      </c>
      <c r="D5" s="7">
        <v>65</v>
      </c>
      <c r="E5" s="7">
        <f t="shared" si="0"/>
        <v>-17.013888888888903</v>
      </c>
      <c r="F5" s="7">
        <f t="shared" si="1"/>
        <v>-5.612244897959176</v>
      </c>
      <c r="G5" s="7">
        <f t="shared" si="2"/>
        <v>-17.013888888888903</v>
      </c>
      <c r="H5" s="5"/>
      <c r="I5" s="5"/>
      <c r="J5" s="5"/>
    </row>
    <row r="6" spans="1:10" ht="12.75">
      <c r="A6" s="5" t="s">
        <v>10</v>
      </c>
      <c r="B6" s="6" t="s">
        <v>24</v>
      </c>
      <c r="C6" s="7">
        <v>72.5</v>
      </c>
      <c r="D6" s="7">
        <v>68.33333333333333</v>
      </c>
      <c r="E6" s="7">
        <f t="shared" si="0"/>
        <v>17.70833333333332</v>
      </c>
      <c r="F6" s="7">
        <f t="shared" si="1"/>
        <v>-5.612244897959139</v>
      </c>
      <c r="G6" s="7">
        <f t="shared" si="2"/>
        <v>17.70833333333332</v>
      </c>
      <c r="H6" s="5"/>
      <c r="I6" s="5"/>
      <c r="J6" s="5"/>
    </row>
    <row r="7" spans="1:10" ht="12.75">
      <c r="A7" s="5" t="s">
        <v>11</v>
      </c>
      <c r="B7" s="6" t="s">
        <v>24</v>
      </c>
      <c r="C7" s="7">
        <v>80</v>
      </c>
      <c r="D7" s="7">
        <v>78.33333333333333</v>
      </c>
      <c r="E7" s="7">
        <f t="shared" si="0"/>
        <v>3.1250000000000355</v>
      </c>
      <c r="F7" s="7">
        <f t="shared" si="1"/>
        <v>-3.826530612244939</v>
      </c>
      <c r="G7" s="7">
        <f t="shared" si="2"/>
        <v>3.1250000000000355</v>
      </c>
      <c r="H7" s="5"/>
      <c r="I7" s="5"/>
      <c r="J7" s="5"/>
    </row>
    <row r="8" spans="1:10" ht="12.75">
      <c r="A8" s="5" t="s">
        <v>12</v>
      </c>
      <c r="B8" s="6" t="s">
        <v>24</v>
      </c>
      <c r="C8" s="7">
        <v>77.5</v>
      </c>
      <c r="D8" s="7">
        <v>70</v>
      </c>
      <c r="E8" s="7">
        <f t="shared" si="0"/>
        <v>1.7361111111110974</v>
      </c>
      <c r="F8" s="7">
        <f t="shared" si="1"/>
        <v>-6.80272108843538</v>
      </c>
      <c r="G8" s="7">
        <f t="shared" si="2"/>
        <v>1.7361111111110974</v>
      </c>
      <c r="H8" s="5"/>
      <c r="I8" s="5"/>
      <c r="J8" s="5"/>
    </row>
    <row r="9" spans="1:10" ht="12.75">
      <c r="A9" s="5" t="s">
        <v>13</v>
      </c>
      <c r="B9" s="6" t="s">
        <v>25</v>
      </c>
      <c r="C9" s="7">
        <v>62.5</v>
      </c>
      <c r="D9" s="7">
        <v>73.33333333333333</v>
      </c>
      <c r="E9" s="7">
        <f>(C9-$C$21)*(D9-$D$21)</f>
        <v>-3.4090909090908994</v>
      </c>
      <c r="F9" s="7">
        <f>(C9-$F$21)*(D9-$G$21)</f>
        <v>7.249999999999993</v>
      </c>
      <c r="G9" s="7">
        <f>(C9-$I$21)*(D9-$J$21)</f>
        <v>7.249999999999993</v>
      </c>
      <c r="H9" s="5"/>
      <c r="I9" s="5"/>
      <c r="J9" s="5"/>
    </row>
    <row r="10" spans="1:10" ht="12.75">
      <c r="A10" s="5" t="s">
        <v>14</v>
      </c>
      <c r="B10" s="6" t="s">
        <v>25</v>
      </c>
      <c r="C10" s="7">
        <v>85</v>
      </c>
      <c r="D10" s="7">
        <v>66.66666666666667</v>
      </c>
      <c r="E10" s="7">
        <f aca="true" t="shared" si="3" ref="E10:E19">(C10-$C$21)*(D10-$D$21)</f>
        <v>-36.36363636363616</v>
      </c>
      <c r="F10" s="7"/>
      <c r="G10" s="7"/>
      <c r="H10" s="5"/>
      <c r="I10" s="5"/>
      <c r="J10" s="5"/>
    </row>
    <row r="11" spans="1:10" ht="12.75">
      <c r="A11" s="5" t="s">
        <v>15</v>
      </c>
      <c r="B11" s="6" t="s">
        <v>25</v>
      </c>
      <c r="C11" s="7">
        <v>65</v>
      </c>
      <c r="D11" s="7">
        <v>71.66666666666667</v>
      </c>
      <c r="E11" s="7">
        <f t="shared" si="3"/>
        <v>6.0606060606060845</v>
      </c>
      <c r="F11" s="7">
        <f aca="true" t="shared" si="4" ref="F11:F19">(C11-$F$21)*(D11-$G$21)</f>
        <v>12.666666666666686</v>
      </c>
      <c r="G11" s="7">
        <f aca="true" t="shared" si="5" ref="G11:G19">(C11-$I$21)*(D11-$J$21)</f>
        <v>12.666666666666686</v>
      </c>
      <c r="H11" s="5"/>
      <c r="I11" s="5"/>
      <c r="J11" s="5"/>
    </row>
    <row r="12" spans="1:10" ht="12.75">
      <c r="A12" s="5" t="s">
        <v>16</v>
      </c>
      <c r="B12" s="6" t="s">
        <v>25</v>
      </c>
      <c r="C12" s="7">
        <v>62.5</v>
      </c>
      <c r="D12" s="7">
        <v>66.66666666666667</v>
      </c>
      <c r="E12" s="7">
        <f t="shared" si="3"/>
        <v>1.1363636363636267</v>
      </c>
      <c r="F12" s="7">
        <f t="shared" si="4"/>
        <v>-2.749999999999993</v>
      </c>
      <c r="G12" s="7">
        <f t="shared" si="5"/>
        <v>-2.749999999999993</v>
      </c>
      <c r="H12" s="5"/>
      <c r="I12" s="5"/>
      <c r="J12" s="5"/>
    </row>
    <row r="13" spans="1:10" ht="12.75">
      <c r="A13" s="5" t="s">
        <v>17</v>
      </c>
      <c r="B13" s="6" t="s">
        <v>25</v>
      </c>
      <c r="C13" s="7">
        <v>62.5</v>
      </c>
      <c r="D13" s="7">
        <v>70</v>
      </c>
      <c r="E13" s="7">
        <f t="shared" si="3"/>
        <v>-1.1363636363636365</v>
      </c>
      <c r="F13" s="7">
        <f t="shared" si="4"/>
        <v>2.25</v>
      </c>
      <c r="G13" s="7">
        <f t="shared" si="5"/>
        <v>2.25</v>
      </c>
      <c r="H13" s="5"/>
      <c r="I13" s="5"/>
      <c r="J13" s="5"/>
    </row>
    <row r="14" spans="1:10" ht="12.75">
      <c r="A14" s="5" t="s">
        <v>18</v>
      </c>
      <c r="B14" s="6" t="s">
        <v>25</v>
      </c>
      <c r="C14" s="7">
        <v>62.5</v>
      </c>
      <c r="D14" s="7">
        <v>66.66666666666667</v>
      </c>
      <c r="E14" s="7">
        <f t="shared" si="3"/>
        <v>1.1363636363636267</v>
      </c>
      <c r="F14" s="7">
        <f t="shared" si="4"/>
        <v>-2.749999999999993</v>
      </c>
      <c r="G14" s="7">
        <f t="shared" si="5"/>
        <v>-2.749999999999993</v>
      </c>
      <c r="H14" s="5"/>
      <c r="I14" s="5"/>
      <c r="J14" s="5"/>
    </row>
    <row r="15" spans="1:10" ht="12.75">
      <c r="A15" s="5" t="s">
        <v>19</v>
      </c>
      <c r="B15" s="6" t="s">
        <v>25</v>
      </c>
      <c r="C15" s="7">
        <v>57.5</v>
      </c>
      <c r="D15" s="7">
        <v>65</v>
      </c>
      <c r="E15" s="7">
        <f t="shared" si="3"/>
        <v>18.939393939393906</v>
      </c>
      <c r="F15" s="7">
        <f t="shared" si="4"/>
        <v>12.25</v>
      </c>
      <c r="G15" s="7">
        <f t="shared" si="5"/>
        <v>12.25</v>
      </c>
      <c r="H15" s="5"/>
      <c r="I15" s="5"/>
      <c r="J15" s="5"/>
    </row>
    <row r="16" spans="1:10" ht="12.75">
      <c r="A16" s="5" t="s">
        <v>20</v>
      </c>
      <c r="B16" s="6" t="s">
        <v>25</v>
      </c>
      <c r="C16" s="7">
        <v>60</v>
      </c>
      <c r="D16" s="7">
        <v>60</v>
      </c>
      <c r="E16" s="7">
        <f t="shared" si="3"/>
        <v>26.515151515151484</v>
      </c>
      <c r="F16" s="7">
        <f t="shared" si="4"/>
        <v>8.5</v>
      </c>
      <c r="G16" s="7">
        <f t="shared" si="5"/>
        <v>8.5</v>
      </c>
      <c r="H16" s="5"/>
      <c r="I16" s="5"/>
      <c r="J16" s="5"/>
    </row>
    <row r="17" spans="1:10" ht="12.75">
      <c r="A17" s="5" t="s">
        <v>21</v>
      </c>
      <c r="B17" s="6" t="s">
        <v>25</v>
      </c>
      <c r="C17" s="7">
        <v>65</v>
      </c>
      <c r="D17" s="7">
        <v>75</v>
      </c>
      <c r="E17" s="7">
        <f t="shared" si="3"/>
        <v>12.121212121212142</v>
      </c>
      <c r="F17" s="7">
        <f t="shared" si="4"/>
        <v>26</v>
      </c>
      <c r="G17" s="7">
        <f t="shared" si="5"/>
        <v>26</v>
      </c>
      <c r="H17" s="5"/>
      <c r="I17" s="5"/>
      <c r="J17" s="5"/>
    </row>
    <row r="18" spans="1:10" ht="12.75">
      <c r="A18" s="5" t="s">
        <v>22</v>
      </c>
      <c r="B18" s="6" t="s">
        <v>25</v>
      </c>
      <c r="C18" s="7">
        <v>52.5</v>
      </c>
      <c r="D18" s="7">
        <v>66.66666666666667</v>
      </c>
      <c r="E18" s="7">
        <f t="shared" si="3"/>
        <v>17.803030303030198</v>
      </c>
      <c r="F18" s="7">
        <f t="shared" si="4"/>
        <v>15.583333333333293</v>
      </c>
      <c r="G18" s="7">
        <f t="shared" si="5"/>
        <v>15.583333333333293</v>
      </c>
      <c r="H18" s="5"/>
      <c r="I18" s="5"/>
      <c r="J18" s="5"/>
    </row>
    <row r="19" spans="1:10" ht="12.75">
      <c r="A19" s="5" t="s">
        <v>23</v>
      </c>
      <c r="B19" s="6" t="s">
        <v>25</v>
      </c>
      <c r="C19" s="7">
        <v>60</v>
      </c>
      <c r="D19" s="7">
        <v>70</v>
      </c>
      <c r="E19" s="7">
        <f t="shared" si="3"/>
        <v>-5.303030303030315</v>
      </c>
      <c r="F19" s="7">
        <f t="shared" si="4"/>
        <v>-1.5</v>
      </c>
      <c r="G19" s="7">
        <f t="shared" si="5"/>
        <v>-1.5</v>
      </c>
      <c r="H19" s="5"/>
      <c r="I19" s="5"/>
      <c r="J19" s="5"/>
    </row>
    <row r="20" spans="1:10" ht="12.75">
      <c r="A20" s="5" t="s">
        <v>29</v>
      </c>
      <c r="B20" s="6" t="s">
        <v>30</v>
      </c>
      <c r="C20" s="7">
        <f>AVERAGE(C2:C3,C5:C8)</f>
        <v>79.58333333333333</v>
      </c>
      <c r="D20" s="7">
        <f>AVERAGE(D2:D3,D5:D8)</f>
        <v>70.83333333333333</v>
      </c>
      <c r="E20" s="5" t="s">
        <v>46</v>
      </c>
      <c r="F20" s="7">
        <f>AVERAGE(C2:C8)</f>
        <v>80.35714285714286</v>
      </c>
      <c r="G20" s="7">
        <f>AVERAGE(D2:D8)</f>
        <v>67.61904761904762</v>
      </c>
      <c r="H20" s="5" t="s">
        <v>49</v>
      </c>
      <c r="I20" s="7">
        <f>AVERAGE(C2:C3,C5:C8)</f>
        <v>79.58333333333333</v>
      </c>
      <c r="J20" s="7">
        <f>AVERAGE(D2:D3,D5:D8)</f>
        <v>70.83333333333333</v>
      </c>
    </row>
    <row r="21" spans="1:10" ht="12.75">
      <c r="A21" s="5"/>
      <c r="B21" s="6" t="s">
        <v>31</v>
      </c>
      <c r="C21" s="7">
        <f>AVERAGE(C9:C19)</f>
        <v>63.18181818181818</v>
      </c>
      <c r="D21" s="7">
        <f>AVERAGE(D9:D19)</f>
        <v>68.33333333333333</v>
      </c>
      <c r="E21" s="5"/>
      <c r="F21" s="7">
        <f>AVERAGE(C9,C11:C19)</f>
        <v>61</v>
      </c>
      <c r="G21" s="7">
        <f>AVERAGE(D9,D11:D19)</f>
        <v>68.5</v>
      </c>
      <c r="H21" s="5"/>
      <c r="I21" s="7">
        <f>AVERAGE(C9,C11:C19)</f>
        <v>61</v>
      </c>
      <c r="J21" s="7">
        <f>AVERAGE(D9,D11:D19)</f>
        <v>68.5</v>
      </c>
    </row>
    <row r="22" spans="1:10" ht="12.75">
      <c r="A22" s="5"/>
      <c r="B22" s="6" t="s">
        <v>32</v>
      </c>
      <c r="C22" s="7">
        <f>STDEV(C2:C3,C5:C8)</f>
        <v>4.306003560921328</v>
      </c>
      <c r="D22" s="7">
        <f>STDEV(D2:D3,D5:D8)</f>
        <v>4.440970864824706</v>
      </c>
      <c r="E22" s="5"/>
      <c r="F22" s="7">
        <f>STDEV(C2:C8)</f>
        <v>4.432026302139631</v>
      </c>
      <c r="G22" s="7">
        <f>STDEV(D2:D8)</f>
        <v>9.421072855923272</v>
      </c>
      <c r="H22" s="5"/>
      <c r="I22" s="7">
        <f>STDEV(C2:C3,C5:C8)</f>
        <v>4.306003560921328</v>
      </c>
      <c r="J22" s="7">
        <f>STDEV(D2:D3,D5:D8)</f>
        <v>4.440970864824706</v>
      </c>
    </row>
    <row r="23" spans="1:10" ht="12.75">
      <c r="A23" s="5"/>
      <c r="B23" s="6" t="s">
        <v>33</v>
      </c>
      <c r="C23" s="7">
        <f>STDEV(C9:C19)</f>
        <v>8.069302098920081</v>
      </c>
      <c r="D23" s="7">
        <f>STDEV(D9:D19)</f>
        <v>4.216370213557964</v>
      </c>
      <c r="E23" s="5"/>
      <c r="F23" s="7">
        <f>STDEV(C9,C11:C19)</f>
        <v>3.763863263545405</v>
      </c>
      <c r="G23" s="7">
        <f>STDEV(D9,D11:D19)</f>
        <v>4.4060844575330185</v>
      </c>
      <c r="H23" s="5"/>
      <c r="I23" s="7">
        <f>STDEV(C9,C11:C19)</f>
        <v>3.763863263545405</v>
      </c>
      <c r="J23" s="7">
        <f>STDEV(D9,D11:D19)</f>
        <v>4.4060844575330185</v>
      </c>
    </row>
    <row r="24" spans="1:10" ht="12.75">
      <c r="A24" s="5"/>
      <c r="B24" s="6" t="s">
        <v>34</v>
      </c>
      <c r="C24" s="7">
        <f>SUM(E2:E8)/5</f>
        <v>2.083333333333345</v>
      </c>
      <c r="D24" s="5">
        <f>SUM(E9:E19)/10</f>
        <v>3.7500000000000058</v>
      </c>
      <c r="E24" s="5"/>
      <c r="F24" s="7">
        <f>SUM(F2:F8)/6</f>
        <v>-15.674603174603162</v>
      </c>
      <c r="G24" s="7">
        <f>SUM(F9:F19)/9</f>
        <v>8.611111111111109</v>
      </c>
      <c r="H24" s="5"/>
      <c r="I24" s="7">
        <f>SUM(G2:G8)/5</f>
        <v>2.083333333333345</v>
      </c>
      <c r="J24" s="7">
        <f>SUM(G9:G19)/9</f>
        <v>8.611111111111109</v>
      </c>
    </row>
    <row r="25" spans="1:10" ht="12.75">
      <c r="A25" s="5"/>
      <c r="B25" s="6" t="s">
        <v>35</v>
      </c>
      <c r="C25" s="7">
        <f>(5*C22^2+10*C23^2)/15</f>
        <v>49.58964646464641</v>
      </c>
      <c r="D25" s="7">
        <f>(5*D22^2+10*D23^2)/15</f>
        <v>18.425925925926517</v>
      </c>
      <c r="E25" s="5"/>
      <c r="F25" s="7">
        <f>(6*F22^2+9*F23^2)/15</f>
        <v>16.357142857142996</v>
      </c>
      <c r="G25" s="7">
        <f>(6*G22^2+9*G23^2)/15</f>
        <v>47.150793650794135</v>
      </c>
      <c r="H25" s="5"/>
      <c r="I25" s="7">
        <f>(5*I22^2+9*I23^2)/14</f>
        <v>15.72916666666684</v>
      </c>
      <c r="J25" s="7">
        <f>(5*J22^2+9*J23^2)/14</f>
        <v>19.523809523809696</v>
      </c>
    </row>
    <row r="26" spans="1:10" ht="12.75">
      <c r="A26" s="5"/>
      <c r="B26" s="6" t="s">
        <v>36</v>
      </c>
      <c r="C26" s="7">
        <f>(5*C24+10*D24)/15</f>
        <v>3.194444444444452</v>
      </c>
      <c r="D26" s="5"/>
      <c r="E26" s="5"/>
      <c r="F26" s="7">
        <f>(6*F24+9*G24)/15</f>
        <v>-1.1031746031745986</v>
      </c>
      <c r="G26" s="5"/>
      <c r="H26" s="5"/>
      <c r="I26" s="7">
        <f>(5*I24+9*J24)/14</f>
        <v>6.279761904761908</v>
      </c>
      <c r="J26" s="7"/>
    </row>
    <row r="27" spans="1:10" ht="12.75">
      <c r="A27" s="5"/>
      <c r="B27" s="6" t="s">
        <v>37</v>
      </c>
      <c r="C27" s="7">
        <f>C26/(C25*D25)^0.5</f>
        <v>0.10567814297811835</v>
      </c>
      <c r="D27" s="5"/>
      <c r="E27" s="5"/>
      <c r="F27" s="7">
        <f>F26/(F25*G25)^0.5</f>
        <v>-0.03972336475669158</v>
      </c>
      <c r="G27" s="5"/>
      <c r="H27" s="5"/>
      <c r="I27" s="7">
        <f>I26/(I25*J25)^0.5</f>
        <v>0.358350520643895</v>
      </c>
      <c r="J27" s="7"/>
    </row>
    <row r="28" spans="1:10" ht="12.75">
      <c r="A28" s="5"/>
      <c r="B28" s="6" t="s">
        <v>39</v>
      </c>
      <c r="C28" s="7">
        <f>(C25*(1/6+1/11))^0.5</f>
        <v>3.5739461042446186</v>
      </c>
      <c r="D28" s="7">
        <f>(D25*(1/6+1/11))^0.5</f>
        <v>2.1785481012374537</v>
      </c>
      <c r="E28" s="5"/>
      <c r="F28" s="7">
        <f>(F25*(1/7+1/10))^0.5</f>
        <v>1.9931003435833003</v>
      </c>
      <c r="G28" s="7">
        <f>(G25*(1/7+1/10))^0.5</f>
        <v>3.383918886362168</v>
      </c>
      <c r="H28" s="5"/>
      <c r="I28" s="7">
        <f>(I25*(1/6+1/10))^0.5</f>
        <v>2.0480342879074294</v>
      </c>
      <c r="J28" s="7">
        <f>(J25*(1/6+1/10))^0.5</f>
        <v>2.281742581087808</v>
      </c>
    </row>
    <row r="29" spans="1:10" ht="12.75">
      <c r="A29" s="5"/>
      <c r="B29" s="6" t="s">
        <v>38</v>
      </c>
      <c r="C29" s="7">
        <f>(C20-C21)/C28</f>
        <v>4.589189280732519</v>
      </c>
      <c r="D29" s="7">
        <f>(D20-D21)/D28</f>
        <v>1.1475532711809098</v>
      </c>
      <c r="E29" s="5"/>
      <c r="F29" s="7">
        <f>(F20-F21)/F28</f>
        <v>9.712076423779836</v>
      </c>
      <c r="G29" s="7">
        <f>(G20-G21)/G28</f>
        <v>-0.26033495793967876</v>
      </c>
      <c r="H29" s="5"/>
      <c r="I29" s="7">
        <f>(I20-I21)/I28</f>
        <v>9.073741315298374</v>
      </c>
      <c r="J29" s="7">
        <f>(J20-J21)/J28</f>
        <v>1.022610242133854</v>
      </c>
    </row>
    <row r="30" spans="1:10" ht="12.75">
      <c r="A30" s="5"/>
      <c r="B30" s="6" t="s">
        <v>40</v>
      </c>
      <c r="C30" s="7">
        <f>(C29^2+D29^2+2*C27*C29*D29)/(1-C27^2)</f>
        <v>23.755913604967628</v>
      </c>
      <c r="D30" s="5"/>
      <c r="E30" s="5"/>
      <c r="F30" s="7">
        <f>(F29^2+G29^2+2*F27*F29*G29)/(1-F27^2)</f>
        <v>94.74257394490209</v>
      </c>
      <c r="G30" s="5"/>
      <c r="H30" s="5"/>
      <c r="I30" s="7">
        <f>(I29^2+J29^2+2*I27*I29*J29)/(1-I27^2)</f>
        <v>103.2931049888294</v>
      </c>
      <c r="J30" s="5"/>
    </row>
    <row r="31" spans="1:10" ht="12.75">
      <c r="A31" s="5"/>
      <c r="B31" s="6" t="s">
        <v>41</v>
      </c>
      <c r="C31" s="7">
        <f>14*C30/2/15</f>
        <v>11.08609301565156</v>
      </c>
      <c r="D31" s="5"/>
      <c r="E31" s="5"/>
      <c r="F31" s="7">
        <f>14*F30/2/15</f>
        <v>44.21320117428764</v>
      </c>
      <c r="G31" s="5"/>
      <c r="H31" s="5"/>
      <c r="I31" s="7">
        <f>14*I30/2/15</f>
        <v>48.20344899478705</v>
      </c>
      <c r="J31" s="5"/>
    </row>
    <row r="32" spans="1:10" ht="12.75">
      <c r="A32" s="5"/>
      <c r="B32" s="6" t="s">
        <v>42</v>
      </c>
      <c r="C32" s="8">
        <f>FDIST(C31,2,14)</f>
        <v>0.0013009870082624116</v>
      </c>
      <c r="D32" s="5"/>
      <c r="E32" s="5"/>
      <c r="F32" s="8">
        <f>FDIST(F31,2,14)</f>
        <v>8.912772449576942E-07</v>
      </c>
      <c r="G32" s="5"/>
      <c r="H32" s="5"/>
      <c r="I32" s="8">
        <f>FDIST(I31,2,14)</f>
        <v>5.271361416716747E-07</v>
      </c>
      <c r="J32" s="5"/>
    </row>
    <row r="33" spans="1:10" ht="12.75">
      <c r="A33" s="5"/>
      <c r="B33" s="6" t="s">
        <v>43</v>
      </c>
      <c r="C33" s="8">
        <f>(2*15*FINV(0.05,2,14)/14)^0.5</f>
        <v>2.8305312801755442</v>
      </c>
      <c r="D33" s="5"/>
      <c r="E33" s="5"/>
      <c r="F33" s="8">
        <f>(2*15*FINV(0.05,2,14)/14)^0.5</f>
        <v>2.8305312801755442</v>
      </c>
      <c r="G33" s="5"/>
      <c r="H33" s="5"/>
      <c r="I33" s="8">
        <f>(2*14*FINV(0.05,2,13)/13)^0.5</f>
        <v>2.862971663109001</v>
      </c>
      <c r="J33" s="5"/>
    </row>
    <row r="34" spans="1:10" ht="12.75">
      <c r="A34" s="5"/>
      <c r="B34" s="6" t="s">
        <v>44</v>
      </c>
      <c r="C34" s="9">
        <f>C20-C21-$C$33*C28</f>
        <v>6.28534890978923</v>
      </c>
      <c r="D34" s="9">
        <f>D20-D21-$C$33*D28</f>
        <v>-3.6664485459196507</v>
      </c>
      <c r="E34" s="5"/>
      <c r="F34" s="9">
        <f>F20-F21-$C$33*F28</f>
        <v>13.715609990101704</v>
      </c>
      <c r="G34" s="9">
        <f>G20-G21-$C$33*G28</f>
        <v>-10.45924063837729</v>
      </c>
      <c r="H34" s="5"/>
      <c r="I34" s="9">
        <f>I20-I21-$C$33*I28</f>
        <v>12.786308218539304</v>
      </c>
      <c r="J34" s="9">
        <f>J20-J21-$C$33*J28</f>
        <v>-4.125210415744196</v>
      </c>
    </row>
    <row r="35" spans="1:10" ht="12.75">
      <c r="A35" s="5"/>
      <c r="B35" s="6" t="s">
        <v>45</v>
      </c>
      <c r="C35" s="9">
        <f>C20-C21+$C$33*C28</f>
        <v>26.51768139324107</v>
      </c>
      <c r="D35" s="9">
        <f>D20-D21+$C$33*D28</f>
        <v>8.66644854591965</v>
      </c>
      <c r="E35" s="5"/>
      <c r="F35" s="9">
        <f>F20-F21+$C$33*F28</f>
        <v>24.998675724184018</v>
      </c>
      <c r="G35" s="9">
        <f>G20-G21+$C$33*G28</f>
        <v>8.69733587647253</v>
      </c>
      <c r="H35" s="5"/>
      <c r="I35" s="9">
        <f>I20-I21+$C$33*I28</f>
        <v>24.380358448127353</v>
      </c>
      <c r="J35" s="9">
        <f>J20-J21+$C$33*J28</f>
        <v>8.791877082410853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6" sqref="B16"/>
    </sheetView>
  </sheetViews>
  <sheetFormatPr defaultColWidth="9.140625" defaultRowHeight="12.75"/>
  <sheetData>
    <row r="1" spans="1:3" ht="18.75">
      <c r="A1" s="12" t="s">
        <v>56</v>
      </c>
      <c r="B1" s="13" t="s">
        <v>57</v>
      </c>
      <c r="C1" s="13" t="s">
        <v>58</v>
      </c>
    </row>
    <row r="2" spans="1:3" ht="14.25">
      <c r="A2" s="14" t="s">
        <v>59</v>
      </c>
      <c r="B2" s="15">
        <v>2.4</v>
      </c>
      <c r="C2" s="15">
        <v>3.7</v>
      </c>
    </row>
    <row r="3" spans="1:4" ht="14.25">
      <c r="A3" s="14" t="s">
        <v>60</v>
      </c>
      <c r="B3" s="15">
        <v>9.8</v>
      </c>
      <c r="C3" s="15">
        <v>11.6</v>
      </c>
      <c r="D3">
        <f>((B3^2+C3^2)/2)^0.5</f>
        <v>10.737783756436894</v>
      </c>
    </row>
    <row r="4" spans="1:3" ht="28.5">
      <c r="A4" s="14" t="s">
        <v>61</v>
      </c>
      <c r="B4" s="16">
        <v>-0.696</v>
      </c>
      <c r="C4" s="17"/>
    </row>
    <row r="5" spans="1:3" ht="14.25">
      <c r="A5" s="18" t="s">
        <v>62</v>
      </c>
      <c r="B5">
        <f>B2*18^0.5/B3</f>
        <v>1.039014045825131</v>
      </c>
      <c r="C5">
        <f>C2*18^0.5/C3</f>
        <v>1.3532560812363237</v>
      </c>
    </row>
    <row r="6" spans="1:3" ht="14.25">
      <c r="A6" s="18" t="s">
        <v>42</v>
      </c>
      <c r="B6">
        <f>TDIST(B5,17,2)</f>
        <v>0.31335130448978354</v>
      </c>
      <c r="C6">
        <f>TDIST(C5,17,2)</f>
        <v>0.19369636461284856</v>
      </c>
    </row>
    <row r="7" spans="1:2" ht="14.25">
      <c r="A7" s="18" t="s">
        <v>63</v>
      </c>
      <c r="B7">
        <f>(B5^2+C5^2-2*B4*B5*C5)/(1-B4^2)</f>
        <v>9.441869217471675</v>
      </c>
    </row>
    <row r="8" spans="1:2" ht="14.25">
      <c r="A8" s="18" t="s">
        <v>41</v>
      </c>
      <c r="B8">
        <f>16*B7/2/17</f>
        <v>4.4432325729278475</v>
      </c>
    </row>
    <row r="9" spans="1:2" ht="14.25">
      <c r="A9" s="18" t="s">
        <v>42</v>
      </c>
      <c r="B9">
        <f>FDIST(B8,2,16)</f>
        <v>0.029191347853564555</v>
      </c>
    </row>
    <row r="10" spans="1:2" ht="14.25">
      <c r="A10" s="18" t="s">
        <v>43</v>
      </c>
      <c r="B10">
        <f>(2*17*FINV(0.05,2,16)/16)^0.5</f>
        <v>2.7787849044481563</v>
      </c>
    </row>
    <row r="11" spans="1:3" ht="14.25">
      <c r="A11" s="18" t="s">
        <v>44</v>
      </c>
      <c r="B11">
        <f>B2-$B$10*$D$3</f>
        <v>-27.43799140961546</v>
      </c>
      <c r="C11">
        <f>C2-$B$10*$D$3</f>
        <v>-26.13799140961546</v>
      </c>
    </row>
    <row r="12" spans="1:3" ht="14.25">
      <c r="A12" s="18" t="s">
        <v>45</v>
      </c>
      <c r="B12">
        <f>B3+$B$10*$D$3</f>
        <v>39.63799140961546</v>
      </c>
      <c r="C12">
        <f>C3+$B$10*$D$3</f>
        <v>41.43799140961546</v>
      </c>
    </row>
  </sheetData>
  <mergeCells count="1">
    <mergeCell ref="B4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7"/>
    </sheetView>
  </sheetViews>
  <sheetFormatPr defaultColWidth="9.140625" defaultRowHeight="12.75"/>
  <sheetData>
    <row r="1" spans="1:5" ht="12.75">
      <c r="A1" s="5"/>
      <c r="B1" s="5" t="s">
        <v>50</v>
      </c>
      <c r="C1" s="5" t="s">
        <v>51</v>
      </c>
      <c r="D1" s="5" t="s">
        <v>52</v>
      </c>
      <c r="E1" s="5" t="s">
        <v>53</v>
      </c>
    </row>
    <row r="2" spans="1:5" ht="12.75">
      <c r="A2" s="5" t="s">
        <v>35</v>
      </c>
      <c r="B2" s="5">
        <f>(13*8.98^2+16*7.73^2)/29</f>
        <v>69.11626206896553</v>
      </c>
      <c r="C2" s="5">
        <f>(13*3.5^2+16*4.25^2)/29</f>
        <v>15.456896551724139</v>
      </c>
      <c r="D2" s="5">
        <f>0.4655*8.98*3.5</f>
        <v>14.630665000000002</v>
      </c>
      <c r="E2" s="5">
        <f>0.5303*7.73*4.25</f>
        <v>17.421680750000004</v>
      </c>
    </row>
    <row r="3" spans="1:5" ht="12.75">
      <c r="A3" s="5" t="s">
        <v>36</v>
      </c>
      <c r="B3" s="5">
        <f>(13*D2+16*E2)/29</f>
        <v>16.17053575862069</v>
      </c>
      <c r="C3" s="5"/>
      <c r="D3" s="5"/>
      <c r="E3" s="5"/>
    </row>
    <row r="4" spans="1:5" ht="12.75">
      <c r="A4" s="5" t="s">
        <v>54</v>
      </c>
      <c r="B4" s="5">
        <f>B3/(B2*C2)^0.5</f>
        <v>0.4947355718567618</v>
      </c>
      <c r="C4" s="5"/>
      <c r="D4" s="5"/>
      <c r="E4" s="5"/>
    </row>
    <row r="5" spans="1:5" ht="12.75">
      <c r="A5" s="5" t="s">
        <v>39</v>
      </c>
      <c r="B5" s="5">
        <f>(B2*(1/13+1/16))^0.5</f>
        <v>3.1042554539014544</v>
      </c>
      <c r="C5" s="5">
        <f>(C2*(1/13+1/16))^0.5</f>
        <v>1.468008200563974</v>
      </c>
      <c r="D5" s="5"/>
      <c r="E5" s="5"/>
    </row>
    <row r="6" spans="1:5" ht="12.75">
      <c r="A6" s="5" t="s">
        <v>38</v>
      </c>
      <c r="B6" s="5">
        <f>(53.41-59.83)/B5</f>
        <v>-2.0681287656050635</v>
      </c>
      <c r="C6" s="5">
        <f>(40.51-43.62)/C5</f>
        <v>-2.118516775863521</v>
      </c>
      <c r="D6" s="5"/>
      <c r="E6" s="5"/>
    </row>
    <row r="7" spans="1:5" ht="12.75">
      <c r="A7" s="5" t="s">
        <v>55</v>
      </c>
      <c r="B7" s="5">
        <f>TINV(0.05,29)</f>
        <v>2.0452307580853812</v>
      </c>
      <c r="C7" s="5"/>
      <c r="D7" s="5"/>
      <c r="E7" s="5"/>
    </row>
    <row r="8" spans="1:5" ht="12.75">
      <c r="A8" s="5" t="s">
        <v>44</v>
      </c>
      <c r="B8" s="5">
        <f>53.41-59.83-$B$7*B5</f>
        <v>-12.768918735273552</v>
      </c>
      <c r="C8" s="5">
        <f>40.51-43.62-$B$7*$C$5</f>
        <v>-6.112415524915013</v>
      </c>
      <c r="D8" s="5"/>
      <c r="E8" s="5"/>
    </row>
    <row r="9" spans="1:5" ht="12.75">
      <c r="A9" s="5" t="s">
        <v>45</v>
      </c>
      <c r="B9" s="5">
        <f>53.41-59.83+$B$7*B5</f>
        <v>-0.07108126472645093</v>
      </c>
      <c r="C9" s="5">
        <f>40.51-43.62+$B$7*$C$5</f>
        <v>-0.10758447508498614</v>
      </c>
      <c r="D9" s="5"/>
      <c r="E9" s="5"/>
    </row>
    <row r="10" spans="1:5" ht="12.75">
      <c r="A10" s="5" t="s">
        <v>40</v>
      </c>
      <c r="B10" s="5">
        <f>(B6^2+C6^2-2*B4*B6*C6)/(1-B4^2)</f>
        <v>5.865757214814415</v>
      </c>
      <c r="C10" s="5"/>
      <c r="D10" s="5"/>
      <c r="E10" s="5"/>
    </row>
    <row r="11" spans="1:5" ht="12.75">
      <c r="A11" s="5" t="s">
        <v>41</v>
      </c>
      <c r="B11" s="5">
        <f>28*B10/2/29</f>
        <v>2.8317448623242</v>
      </c>
      <c r="C11" s="5"/>
      <c r="D11" s="5"/>
      <c r="E11" s="5"/>
    </row>
    <row r="12" spans="1:5" ht="12.75">
      <c r="A12" s="5" t="s">
        <v>42</v>
      </c>
      <c r="B12" s="5">
        <f>FDIST(B11,2,28)</f>
        <v>0.0758550584683452</v>
      </c>
      <c r="C12" s="5"/>
      <c r="D12" s="5"/>
      <c r="E12" s="5"/>
    </row>
    <row r="13" spans="1:5" ht="12.75">
      <c r="A13" s="5">
        <v>0</v>
      </c>
      <c r="B13" s="5"/>
      <c r="C13" s="5"/>
      <c r="D13" s="5"/>
      <c r="E13" s="5"/>
    </row>
    <row r="14" spans="1:5" ht="12.75">
      <c r="A14" s="5" t="s">
        <v>38</v>
      </c>
      <c r="B14" s="5">
        <f>(0-53.41+59.83)/B5</f>
        <v>2.0681287656050635</v>
      </c>
      <c r="C14" s="5">
        <f>(0-40.51+43.62)/C5</f>
        <v>2.118516775863521</v>
      </c>
      <c r="D14" s="5"/>
      <c r="E14" s="5"/>
    </row>
    <row r="15" spans="1:5" ht="12.75">
      <c r="A15" s="5" t="s">
        <v>40</v>
      </c>
      <c r="B15" s="5">
        <v>5.865757214814415</v>
      </c>
      <c r="C15" s="5"/>
      <c r="D15" s="5"/>
      <c r="E15" s="5"/>
    </row>
    <row r="16" spans="1:5" ht="12.75">
      <c r="A16" s="5" t="s">
        <v>41</v>
      </c>
      <c r="B16" s="5">
        <f>28*B15/2/29</f>
        <v>2.8317448623242</v>
      </c>
      <c r="C16" s="5"/>
      <c r="D16" s="5"/>
      <c r="E16" s="5"/>
    </row>
    <row r="17" spans="1:5" ht="12.75">
      <c r="A17" s="5" t="s">
        <v>42</v>
      </c>
      <c r="B17" s="5">
        <f>FDIST(B16,2,28)</f>
        <v>0.0758550584683452</v>
      </c>
      <c r="C17" s="5"/>
      <c r="D17" s="5"/>
      <c r="E17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Dąbrowski</cp:lastModifiedBy>
  <cp:lastPrinted>2004-10-11T23:45:38Z</cp:lastPrinted>
  <dcterms:created xsi:type="dcterms:W3CDTF">2004-10-05T10:42:44Z</dcterms:created>
  <dcterms:modified xsi:type="dcterms:W3CDTF">2004-10-19T12:04:32Z</dcterms:modified>
  <cp:category/>
  <cp:version/>
  <cp:contentType/>
  <cp:contentStatus/>
</cp:coreProperties>
</file>